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/>
  <mc:AlternateContent xmlns:mc="http://schemas.openxmlformats.org/markup-compatibility/2006">
    <mc:Choice Requires="x15">
      <x15ac:absPath xmlns:x15ac="http://schemas.microsoft.com/office/spreadsheetml/2010/11/ac" url="/Users/danielhernandez/Documents/Personal/4. Laboral/4.4 Clases/Clases IA/V1/Clase Uniandes/Sesiones/Ejercicios/"/>
    </mc:Choice>
  </mc:AlternateContent>
  <xr:revisionPtr revIDLastSave="0" documentId="8_{C3F89B31-2ADD-294C-AF6C-E12A98FF105E}" xr6:coauthVersionLast="47" xr6:coauthVersionMax="47" xr10:uidLastSave="{00000000-0000-0000-0000-000000000000}"/>
  <bookViews>
    <workbookView xWindow="0" yWindow="0" windowWidth="51200" windowHeight="21600" tabRatio="500" xr2:uid="{00000000-000D-0000-FFFF-FFFF00000000}"/>
  </bookViews>
  <sheets>
    <sheet name="RESUMEN_EJECUTIVO" sheetId="1" r:id="rId1"/>
    <sheet name="MATRICULA_HISTORICA" sheetId="2" r:id="rId2"/>
    <sheet name="ANALISIS_DESERCION" sheetId="3" r:id="rId3"/>
    <sheet name="PROYECCION_2025_2027" sheetId="4" r:id="rId4"/>
    <sheet name="PRESUPUESTO_RETENCION" sheetId="5" r:id="rId5"/>
  </sheets>
  <calcPr calcId="191029" iterateDelta="1E-4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" i="5" l="1"/>
  <c r="D11" i="5"/>
  <c r="F10" i="5"/>
  <c r="E10" i="5"/>
  <c r="F9" i="5"/>
  <c r="E9" i="5"/>
  <c r="F8" i="5"/>
  <c r="E8" i="5"/>
  <c r="F7" i="5"/>
  <c r="E7" i="5"/>
  <c r="F6" i="5"/>
  <c r="F11" i="5" s="1"/>
  <c r="E6" i="5"/>
  <c r="E11" i="5" s="1"/>
  <c r="C17" i="4"/>
  <c r="C16" i="4"/>
  <c r="C15" i="4"/>
  <c r="E11" i="4"/>
  <c r="I10" i="4"/>
  <c r="J10" i="4" s="1"/>
  <c r="H10" i="4"/>
  <c r="H11" i="4" s="1"/>
  <c r="G10" i="4"/>
  <c r="G11" i="4" s="1"/>
  <c r="E10" i="4"/>
  <c r="D10" i="4"/>
  <c r="D11" i="4" s="1"/>
  <c r="C10" i="4"/>
  <c r="C11" i="4" s="1"/>
  <c r="J9" i="4"/>
  <c r="I9" i="4"/>
  <c r="H9" i="4"/>
  <c r="G9" i="4"/>
  <c r="E9" i="4"/>
  <c r="D9" i="4"/>
  <c r="C9" i="4"/>
  <c r="J8" i="4"/>
  <c r="J7" i="4"/>
  <c r="J6" i="4"/>
  <c r="G19" i="3"/>
  <c r="D19" i="3"/>
  <c r="G18" i="3"/>
  <c r="H19" i="3" s="1"/>
  <c r="D18" i="3"/>
  <c r="H17" i="3"/>
  <c r="G17" i="3"/>
  <c r="H18" i="3" s="1"/>
  <c r="D17" i="3"/>
  <c r="F13" i="3"/>
  <c r="G13" i="3" s="1"/>
  <c r="D13" i="3"/>
  <c r="H13" i="3" s="1"/>
  <c r="I13" i="3" s="1"/>
  <c r="C13" i="3"/>
  <c r="H12" i="3"/>
  <c r="I12" i="3" s="1"/>
  <c r="G12" i="3"/>
  <c r="E12" i="3"/>
  <c r="I11" i="3"/>
  <c r="H11" i="3"/>
  <c r="G11" i="3"/>
  <c r="E11" i="3"/>
  <c r="H10" i="3"/>
  <c r="I10" i="3" s="1"/>
  <c r="G10" i="3"/>
  <c r="E10" i="3"/>
  <c r="I9" i="3"/>
  <c r="H9" i="3"/>
  <c r="G9" i="3"/>
  <c r="E9" i="3"/>
  <c r="H8" i="3"/>
  <c r="I8" i="3" s="1"/>
  <c r="G8" i="3"/>
  <c r="E8" i="3"/>
  <c r="I7" i="3"/>
  <c r="H7" i="3"/>
  <c r="G7" i="3"/>
  <c r="E7" i="3"/>
  <c r="H6" i="3"/>
  <c r="I6" i="3" s="1"/>
  <c r="G6" i="3"/>
  <c r="E6" i="3"/>
  <c r="G26" i="2"/>
  <c r="F26" i="2"/>
  <c r="E26" i="2"/>
  <c r="D26" i="2"/>
  <c r="C26" i="2"/>
  <c r="H26" i="2" s="1"/>
  <c r="H25" i="2"/>
  <c r="H24" i="2"/>
  <c r="H23" i="2"/>
  <c r="H22" i="2"/>
  <c r="H21" i="2"/>
  <c r="H20" i="2"/>
  <c r="H19" i="2"/>
  <c r="H18" i="2"/>
  <c r="H14" i="2"/>
  <c r="G14" i="2"/>
  <c r="I14" i="2" s="1"/>
  <c r="F14" i="2"/>
  <c r="E14" i="2"/>
  <c r="D14" i="2"/>
  <c r="C14" i="2"/>
  <c r="I13" i="2"/>
  <c r="H13" i="2"/>
  <c r="I12" i="2"/>
  <c r="H12" i="2"/>
  <c r="I11" i="2"/>
  <c r="H11" i="2"/>
  <c r="I10" i="2"/>
  <c r="H10" i="2"/>
  <c r="I9" i="2"/>
  <c r="H9" i="2"/>
  <c r="I8" i="2"/>
  <c r="H8" i="2"/>
  <c r="I7" i="2"/>
  <c r="H7" i="2"/>
  <c r="I6" i="2"/>
  <c r="H6" i="2"/>
  <c r="C23" i="1"/>
  <c r="D18" i="1"/>
  <c r="E18" i="1" s="1"/>
  <c r="D17" i="1"/>
  <c r="E17" i="1" s="1"/>
  <c r="D16" i="1"/>
  <c r="E16" i="1" s="1"/>
  <c r="F12" i="1"/>
  <c r="E12" i="1"/>
  <c r="E11" i="1"/>
  <c r="F10" i="1"/>
  <c r="E10" i="1"/>
  <c r="F9" i="1"/>
  <c r="E9" i="1"/>
  <c r="F8" i="1"/>
  <c r="E8" i="1"/>
  <c r="F7" i="1"/>
  <c r="E7" i="1"/>
  <c r="E13" i="3" l="1"/>
  <c r="I11" i="4"/>
  <c r="J11" i="4" s="1"/>
</calcChain>
</file>

<file path=xl/sharedStrings.xml><?xml version="1.0" encoding="utf-8"?>
<sst xmlns="http://schemas.openxmlformats.org/spreadsheetml/2006/main" count="206" uniqueCount="158">
  <si>
    <t>UNIVERSIDAD ANDES 360 — FACULTAD DE ECONOMÍA</t>
  </si>
  <si>
    <t>DIAGNÓSTICO DE ENROLAMIENTO 2024 · INFORME PARA CONSEJO SUPERIOR</t>
  </si>
  <si>
    <t>CONFIDENCIAL · Uso interno · Preparado por: Dirección de Planeación</t>
  </si>
  <si>
    <t xml:space="preserve">  ▸  INDICADORES CRÍTICOS DE ENROLAMIENTO</t>
  </si>
  <si>
    <t>INDICADOR</t>
  </si>
  <si>
    <t>VALOR ACTUAL</t>
  </si>
  <si>
    <t>META 2027</t>
  </si>
  <si>
    <t>BRECHA</t>
  </si>
  <si>
    <t>% AVANCE</t>
  </si>
  <si>
    <t>ESTADO</t>
  </si>
  <si>
    <t>Tasa de Retención General</t>
  </si>
  <si>
    <t>CRÍTICO</t>
  </si>
  <si>
    <t>Tasa de Deserción Primer Año</t>
  </si>
  <si>
    <t>Enrolamiento Total (estudiantes)</t>
  </si>
  <si>
    <t>EN RIESGO</t>
  </si>
  <si>
    <t>Enrolamiento Nuevos Ingresos</t>
  </si>
  <si>
    <t>Brecha de Cupos (vs meta)</t>
  </si>
  <si>
    <t>N/A</t>
  </si>
  <si>
    <t>Tiempo promedio hasta deserción (sem)</t>
  </si>
  <si>
    <t xml:space="preserve">  ▸  CAUSAS RAÍZ DE DESERCIÓN (Primer Año)</t>
  </si>
  <si>
    <t>CAUSA</t>
  </si>
  <si>
    <t>% ESTUDIANTES AFECTADOS</t>
  </si>
  <si>
    <t>ESTUDIANTES (est.)</t>
  </si>
  <si>
    <t>IMPACTO ECONÓMICO (COP M)</t>
  </si>
  <si>
    <t>PRIORIDAD</t>
  </si>
  <si>
    <t>INTERVENCIÓN SUGERIDA</t>
  </si>
  <si>
    <t>Carga académica excesiva</t>
  </si>
  <si>
    <t>ALTA</t>
  </si>
  <si>
    <t>Programa de tutorías tempranas</t>
  </si>
  <si>
    <t>Factor económico / financiero</t>
  </si>
  <si>
    <t>Fondo de emergencia estudiantil</t>
  </si>
  <si>
    <t>Desorientación vocacional</t>
  </si>
  <si>
    <t>MEDIA</t>
  </si>
  <si>
    <t>Test de perfil S0 + mentoría</t>
  </si>
  <si>
    <t xml:space="preserve">  ▸  PRESUPUESTO DISPONIBLE PARA RETENCIÓN</t>
  </si>
  <si>
    <t>Presupuesto total aprobado (COP millones)</t>
  </si>
  <si>
    <t>Costo estimado por estudiante retenido (COP millones)</t>
  </si>
  <si>
    <t>Máx. estudiantes adicionales retenibles con presupuesto</t>
  </si>
  <si>
    <t>Fuente: Dirección de Registro y Admisiones ANDES 360 · Período 2024-I · Cifras preliminares sujetas a validación del CNA</t>
  </si>
  <si>
    <t>EVOLUCIÓN DE MATRÍCULA POR PROGRAMA · 2020–2024</t>
  </si>
  <si>
    <t>Universidad ANDES 360 · Facultad de Economía</t>
  </si>
  <si>
    <t xml:space="preserve">  ▸  ESTUDIANTES MATRICULADOS POR PROGRAMA (totales anuales)</t>
  </si>
  <si>
    <t>PROGRAMA</t>
  </si>
  <si>
    <t>2020</t>
  </si>
  <si>
    <t>2021</t>
  </si>
  <si>
    <t>2022</t>
  </si>
  <si>
    <t>2023</t>
  </si>
  <si>
    <t>2024</t>
  </si>
  <si>
    <t>TOTAL 2024</t>
  </si>
  <si>
    <t>VAR. 2023–24</t>
  </si>
  <si>
    <t>Economía</t>
  </si>
  <si>
    <t>Administración de Empresas</t>
  </si>
  <si>
    <t>Negocios Internacionales</t>
  </si>
  <si>
    <t>Finanzas y Banca</t>
  </si>
  <si>
    <t>Contaduría Pública</t>
  </si>
  <si>
    <t>Economía + Derecho (doble)</t>
  </si>
  <si>
    <t>Economía + Ing. (doble)</t>
  </si>
  <si>
    <t>Posgrado (todos)</t>
  </si>
  <si>
    <t>TOTAL FACULTAD</t>
  </si>
  <si>
    <t xml:space="preserve">  ▸  TASA DE RETENCIÓN ANUAL (% estudiantes que continúan al siguiente período)</t>
  </si>
  <si>
    <t>PROMEDIO</t>
  </si>
  <si>
    <t>PROMEDIO FACULTAD</t>
  </si>
  <si>
    <t>Meta 2027 (todos los programas)</t>
  </si>
  <si>
    <t>ANÁLISIS DE DESERCIÓN PRIMER AÑO · 2024</t>
  </si>
  <si>
    <t>Universidad ANDES 360 · Cohorte 2024-I · Seguimiento semestral</t>
  </si>
  <si>
    <t xml:space="preserve">  ▸  DESERCIÓN POR SEMESTRE — COHORTE 2024-I</t>
  </si>
  <si>
    <t>INGRESOS</t>
  </si>
  <si>
    <t>DESERTARON S1</t>
  </si>
  <si>
    <t>% DESERCIÓN S1</t>
  </si>
  <si>
    <t>DESERTARON S2</t>
  </si>
  <si>
    <t>% DESERCIÓN S2</t>
  </si>
  <si>
    <t>RETENCIÓN ANUAL</t>
  </si>
  <si>
    <t>VS META 78%</t>
  </si>
  <si>
    <t xml:space="preserve">  ▸  CAUSAS DE DESERCIÓN — ENCUESTA DE SEGUIMIENTO (n=247 ex-estudiantes)</t>
  </si>
  <si>
    <t>CAUSA PRINCIPAL</t>
  </si>
  <si>
    <t>N° ENCUESTADOS</t>
  </si>
  <si>
    <t>% DEL TOTAL</t>
  </si>
  <si>
    <t>PROGRAMA MÁS AFECTADO</t>
  </si>
  <si>
    <t>SEMESTRE CRÍTICO</t>
  </si>
  <si>
    <t>COSTO ESTIMADO (COP M)</t>
  </si>
  <si>
    <t>IMPACTO ACUMULADO</t>
  </si>
  <si>
    <t>Carga académica excesiva / ritmo</t>
  </si>
  <si>
    <t>1er semestre</t>
  </si>
  <si>
    <t>Situación económica / financiera</t>
  </si>
  <si>
    <t>2do semestre</t>
  </si>
  <si>
    <t>Falta de orientación vocacional</t>
  </si>
  <si>
    <t>Administración</t>
  </si>
  <si>
    <t>PROYECCIÓN ESTRATÉGICA 2025–2027 · ESCENARIOS COMPARADOS</t>
  </si>
  <si>
    <t>Escenario A: Sin intervención  |  Escenario B: Con intervención (COP $450M)</t>
  </si>
  <si>
    <t>ESCENARIO A · SIN INTERVENCIÓN</t>
  </si>
  <si>
    <t>ESCENARIO B · CON INTERVENCIÓN (COP $450M)</t>
  </si>
  <si>
    <t>DIFERENCIAL A→B</t>
  </si>
  <si>
    <t>2025</t>
  </si>
  <si>
    <t>2026</t>
  </si>
  <si>
    <t>2027</t>
  </si>
  <si>
    <t>EN 2027</t>
  </si>
  <si>
    <t>Tasa de Retención (%)</t>
  </si>
  <si>
    <t>Matrícula Total (estudiantes)</t>
  </si>
  <si>
    <t>Nuevos Ingresos / año</t>
  </si>
  <si>
    <t>Deserción Anual (estudiantes)</t>
  </si>
  <si>
    <t>Ingresos por matrícula (COP M)</t>
  </si>
  <si>
    <t>Costo de deserción (COP M)</t>
  </si>
  <si>
    <t xml:space="preserve">  ▸  RESUMEN DE IMPACTO ECONÓMICO CON INTERVENCIÓN</t>
  </si>
  <si>
    <t>Inversión total (COP M)</t>
  </si>
  <si>
    <t>Estudiantes adicionales retenidos a 2027</t>
  </si>
  <si>
    <t>Ingresos adicionales por retención (COP M)</t>
  </si>
  <si>
    <t>ROI estimado (ingreso adicional / inversión)</t>
  </si>
  <si>
    <t>PLAN DE INVERSIÓN EN RETENCIÓN 2025 · COP $450M</t>
  </si>
  <si>
    <t>Universidad ANDES 360 · Presupuesto aprobado Consejo Superior · Sesión extraordinaria oct-2024</t>
  </si>
  <si>
    <t xml:space="preserve">  ▸  DISTRIBUCIÓN POR INICIATIVA ESTRATÉGICA</t>
  </si>
  <si>
    <t>INICIATIVA</t>
  </si>
  <si>
    <t>CAUSA ATENDIDA</t>
  </si>
  <si>
    <t>PRESUPUESTO (COP M)</t>
  </si>
  <si>
    <t>ESTUDIANTES IMPACTO EST.</t>
  </si>
  <si>
    <t>RETENCIÓN ESPERADA</t>
  </si>
  <si>
    <t>RESPONSABLE</t>
  </si>
  <si>
    <t>Programa de Tutorías Tempranas S1</t>
  </si>
  <si>
    <t>Carga académica</t>
  </si>
  <si>
    <t>Vicerrectoría Académica</t>
  </si>
  <si>
    <t>Fondo de Emergencia Estudiantil</t>
  </si>
  <si>
    <t>Factor económico</t>
  </si>
  <si>
    <t>Bienestar Universitario</t>
  </si>
  <si>
    <t>Test Orientación Vocacional S0</t>
  </si>
  <si>
    <t>Orientación vocacional</t>
  </si>
  <si>
    <t>Admisiones</t>
  </si>
  <si>
    <t>Sistema Alerta Temprana (LMS)</t>
  </si>
  <si>
    <t>Transversal</t>
  </si>
  <si>
    <t>Planeación / TI</t>
  </si>
  <si>
    <t>Mentoría entre pares</t>
  </si>
  <si>
    <t>Carga + orientación</t>
  </si>
  <si>
    <t>Decanatura</t>
  </si>
  <si>
    <t>TOTAL</t>
  </si>
  <si>
    <t xml:space="preserve">  ▸  CRONOGRAMA DE IMPLEMENTACIÓN 2025</t>
  </si>
  <si>
    <t>ENE–FEB</t>
  </si>
  <si>
    <t>MAR–ABR</t>
  </si>
  <si>
    <t>MAY–JUN</t>
  </si>
  <si>
    <t>JUL–AGO</t>
  </si>
  <si>
    <t>SEP–DIC</t>
  </si>
  <si>
    <t>DISEÑO</t>
  </si>
  <si>
    <t>PILOTO</t>
  </si>
  <si>
    <t>AJUSTE</t>
  </si>
  <si>
    <t>LANZAMIENTO</t>
  </si>
  <si>
    <t>SEGUIMIENTO</t>
  </si>
  <si>
    <t>REGLAMENTO</t>
  </si>
  <si>
    <t>CONVOCATOR.</t>
  </si>
  <si>
    <t>SELECCIÓN</t>
  </si>
  <si>
    <t>DESEMBOLSO</t>
  </si>
  <si>
    <t>EVALUACIÓN</t>
  </si>
  <si>
    <t>COMPRA</t>
  </si>
  <si>
    <t>IMPLEM.</t>
  </si>
  <si>
    <t>ROLLOUT</t>
  </si>
  <si>
    <t>SPECS</t>
  </si>
  <si>
    <t>DESARROLLO</t>
  </si>
  <si>
    <t>TESTING</t>
  </si>
  <si>
    <t>MONITOR.</t>
  </si>
  <si>
    <t>FORMACIÓN</t>
  </si>
  <si>
    <t>ASIGNACIÓN</t>
  </si>
  <si>
    <t>Aprobación pendiente: Consejo Superior ANDES 360 · Sesión ordinaria enero 2025 · Sujeto a disponibilidad presupuestal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</si>
</sst>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%"/>
    <numFmt numFmtId="165" formatCode="#,##0;\(#,##0\);\-"/>
    <numFmt numFmtId="166" formatCode="#,##0.0"/>
    <numFmt numFmtId="167" formatCode="&quot;COP $&quot;#,##0"/>
    <numFmt numFmtId="168" formatCode="&quot;COP $&quot;#,##0.0"/>
    <numFmt numFmtId="169" formatCode="\+0.0%;\-0.0%;\-"/>
    <numFmt numFmtId="170" formatCode="\+#,##0;\-#,##0;\-"/>
    <numFmt numFmtId="171" formatCode="0.0\x"/>
    <numFmt numFmtId="172" formatCode="\+0.0%"/>
  </numFmts>
  <fonts count="20" x14ac:knownFonts="1">
    <font>
      <sz val="11"/>
      <color theme="1"/>
      <name val="Calibri"/>
      <family val="2"/>
      <charset val="1"/>
    </font>
    <font>
      <b/>
      <sz val="12"/>
      <color rgb="FFFFFFFF"/>
      <name val="Arial"/>
      <family val="2"/>
    </font>
    <font>
      <b/>
      <sz val="10"/>
      <color rgb="FFFFFFFF"/>
      <name val="Arial"/>
      <family val="2"/>
    </font>
    <font>
      <sz val="8"/>
      <color rgb="FF94A3B8"/>
      <name val="Arial"/>
      <family val="2"/>
    </font>
    <font>
      <b/>
      <sz val="9"/>
      <color rgb="FFFFFFFF"/>
      <name val="Arial"/>
      <family val="2"/>
    </font>
    <font>
      <b/>
      <sz val="8"/>
      <color rgb="FF0F1E3C"/>
      <name val="Arial"/>
      <family val="2"/>
    </font>
    <font>
      <sz val="9"/>
      <color rgb="FF0F172A"/>
      <name val="Arial"/>
      <family val="2"/>
    </font>
    <font>
      <sz val="9"/>
      <color rgb="FF1D4ED8"/>
      <name val="Arial"/>
      <family val="2"/>
    </font>
    <font>
      <b/>
      <sz val="8"/>
      <color rgb="FFDC2626"/>
      <name val="Arial"/>
      <family val="2"/>
    </font>
    <font>
      <b/>
      <sz val="8"/>
      <color rgb="FFD97706"/>
      <name val="Arial"/>
      <family val="2"/>
    </font>
    <font>
      <sz val="8"/>
      <color rgb="FF0F172A"/>
      <name val="Arial"/>
      <family val="2"/>
    </font>
    <font>
      <b/>
      <sz val="9"/>
      <color rgb="FF0F172A"/>
      <name val="Arial"/>
      <family val="2"/>
    </font>
    <font>
      <i/>
      <sz val="7"/>
      <color rgb="FF94A3B8"/>
      <name val="Arial"/>
      <family val="2"/>
    </font>
    <font>
      <b/>
      <sz val="11"/>
      <color rgb="FFFFFFFF"/>
      <name val="Arial"/>
      <family val="2"/>
    </font>
    <font>
      <sz val="9"/>
      <color rgb="FFFFFFFF"/>
      <name val="Arial"/>
      <family val="2"/>
    </font>
    <font>
      <b/>
      <sz val="9"/>
      <color rgb="FF0F1E3C"/>
      <name val="Arial"/>
      <family val="2"/>
    </font>
    <font>
      <i/>
      <sz val="8"/>
      <color rgb="FF64748B"/>
      <name val="Arial"/>
      <family val="2"/>
    </font>
    <font>
      <b/>
      <sz val="9"/>
      <color rgb="FF059669"/>
      <name val="Arial"/>
      <family val="2"/>
    </font>
    <font>
      <b/>
      <sz val="10"/>
      <color rgb="FF059669"/>
      <name val="Arial"/>
      <family val="2"/>
    </font>
    <font>
      <b/>
      <sz val="7"/>
      <color rgb="FFFFFFFF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F1E3C"/>
        <bgColor rgb="FF0F172A"/>
      </patternFill>
    </fill>
    <fill>
      <patternFill patternType="solid">
        <fgColor rgb="FF1A2F52"/>
        <bgColor rgb="FF0F1E3C"/>
      </patternFill>
    </fill>
    <fill>
      <patternFill patternType="solid">
        <fgColor rgb="FFE2E8F0"/>
        <bgColor rgb="FFFEE2E2"/>
      </patternFill>
    </fill>
    <fill>
      <patternFill patternType="solid">
        <fgColor rgb="FFFEE2E2"/>
        <bgColor rgb="FFFEF3C7"/>
      </patternFill>
    </fill>
    <fill>
      <patternFill patternType="solid">
        <fgColor rgb="FFFEF3C7"/>
        <bgColor rgb="FFFEE2E2"/>
      </patternFill>
    </fill>
    <fill>
      <patternFill patternType="solid">
        <fgColor rgb="FFD1FAE5"/>
        <bgColor rgb="FFCCFFFF"/>
      </patternFill>
    </fill>
    <fill>
      <patternFill patternType="solid">
        <fgColor rgb="FFDC2626"/>
        <bgColor rgb="FF993300"/>
      </patternFill>
    </fill>
    <fill>
      <patternFill patternType="solid">
        <fgColor rgb="FF059669"/>
        <bgColor rgb="FF008080"/>
      </patternFill>
    </fill>
    <fill>
      <patternFill patternType="solid">
        <fgColor rgb="FFD97706"/>
        <bgColor rgb="FFFF9900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0F1E3C"/>
      </bottom>
      <diagonal/>
    </border>
    <border>
      <left/>
      <right/>
      <top/>
      <bottom style="thin">
        <color rgb="FFCBD5E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4" fillId="9" borderId="0" xfId="0" applyFont="1" applyFill="1" applyAlignment="1">
      <alignment horizontal="center" vertical="center" wrapText="1"/>
    </xf>
    <xf numFmtId="0" fontId="0" fillId="0" borderId="0" xfId="0"/>
    <xf numFmtId="0" fontId="4" fillId="8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left" vertical="center"/>
    </xf>
    <xf numFmtId="0" fontId="5" fillId="4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9" fontId="6" fillId="0" borderId="2" xfId="0" applyNumberFormat="1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9" fontId="7" fillId="0" borderId="2" xfId="0" applyNumberFormat="1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166" fontId="6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167" fontId="7" fillId="0" borderId="2" xfId="0" applyNumberFormat="1" applyFont="1" applyBorder="1" applyAlignment="1">
      <alignment horizontal="center" vertical="center" wrapText="1"/>
    </xf>
    <xf numFmtId="168" fontId="7" fillId="0" borderId="2" xfId="0" applyNumberFormat="1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/>
    </xf>
    <xf numFmtId="0" fontId="15" fillId="4" borderId="1" xfId="0" applyFont="1" applyFill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169" fontId="6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/>
    </xf>
    <xf numFmtId="3" fontId="4" fillId="2" borderId="2" xfId="0" applyNumberFormat="1" applyFont="1" applyFill="1" applyBorder="1" applyAlignment="1">
      <alignment horizontal="center" vertical="center" wrapText="1"/>
    </xf>
    <xf numFmtId="169" fontId="4" fillId="2" borderId="2" xfId="0" applyNumberFormat="1" applyFont="1" applyFill="1" applyBorder="1" applyAlignment="1">
      <alignment horizontal="center" vertical="center" wrapText="1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5" borderId="2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16" fillId="0" borderId="0" xfId="0" applyFont="1"/>
    <xf numFmtId="164" fontId="17" fillId="7" borderId="0" xfId="0" applyNumberFormat="1" applyFont="1" applyFill="1" applyAlignment="1">
      <alignment horizontal="center" vertical="center" wrapText="1"/>
    </xf>
    <xf numFmtId="164" fontId="6" fillId="5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8" fontId="6" fillId="0" borderId="2" xfId="0" applyNumberFormat="1" applyFont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164" fontId="17" fillId="7" borderId="2" xfId="0" applyNumberFormat="1" applyFont="1" applyFill="1" applyBorder="1" applyAlignment="1">
      <alignment horizontal="center" vertical="center" wrapText="1"/>
    </xf>
    <xf numFmtId="170" fontId="17" fillId="7" borderId="2" xfId="0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/>
    </xf>
    <xf numFmtId="171" fontId="18" fillId="7" borderId="2" xfId="0" applyNumberFormat="1" applyFont="1" applyFill="1" applyBorder="1" applyAlignment="1">
      <alignment horizontal="center" vertical="center" wrapText="1"/>
    </xf>
    <xf numFmtId="172" fontId="17" fillId="7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0" fillId="2" borderId="0" xfId="0" applyFill="1"/>
    <xf numFmtId="167" fontId="4" fillId="2" borderId="2" xfId="0" applyNumberFormat="1" applyFont="1" applyFill="1" applyBorder="1" applyAlignment="1">
      <alignment horizontal="center" vertical="center" wrapText="1"/>
    </xf>
    <xf numFmtId="9" fontId="4" fillId="2" borderId="2" xfId="0" applyNumberFormat="1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10" borderId="2" xfId="0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DC262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59669"/>
      <rgbColor rgb="FFC0C0C0"/>
      <rgbColor rgb="FF808080"/>
      <rgbColor rgb="FF9999FF"/>
      <rgbColor rgb="FF993366"/>
      <rgbColor rgb="FFFEF3C7"/>
      <rgbColor rgb="FFE2E8F0"/>
      <rgbColor rgb="FF660066"/>
      <rgbColor rgb="FFFF8080"/>
      <rgbColor rgb="FF1D4ED8"/>
      <rgbColor rgb="FFCBD5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1FAE5"/>
      <rgbColor rgb="FFFFFF99"/>
      <rgbColor rgb="FF99CCFF"/>
      <rgbColor rgb="FFFF99CC"/>
      <rgbColor rgb="FFCC99FF"/>
      <rgbColor rgb="FFFEE2E2"/>
      <rgbColor rgb="FF3366FF"/>
      <rgbColor rgb="FF33CCCC"/>
      <rgbColor rgb="FF99CC00"/>
      <rgbColor rgb="FFFFCC00"/>
      <rgbColor rgb="FFFF9900"/>
      <rgbColor rgb="FFD97706"/>
      <rgbColor rgb="FF64748B"/>
      <rgbColor rgb="FF94A3B8"/>
      <rgbColor rgb="FF1A2F52"/>
      <rgbColor rgb="FF339966"/>
      <rgbColor rgb="FF0F172A"/>
      <rgbColor rgb="FF333300"/>
      <rgbColor rgb="FF993300"/>
      <rgbColor rgb="FF993366"/>
      <rgbColor rgb="FF333399"/>
      <rgbColor rgb="FF0F1E3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F6A8BA5-5F28-5347-8DE0-CBCBDF816D55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7635b7ae-31ac-4399-b6c4-6d5bfb418bf1&quot;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25"/>
  <sheetViews>
    <sheetView showGridLines="0" tabSelected="1" zoomScaleNormal="100" workbookViewId="0">
      <pane ySplit="4" topLeftCell="A5" activePane="bottomLeft" state="frozen"/>
      <selection pane="bottomLeft" activeCell="A27" sqref="A27:G1048576"/>
    </sheetView>
  </sheetViews>
  <sheetFormatPr baseColWidth="10" defaultColWidth="8.6640625" defaultRowHeight="15" x14ac:dyDescent="0.2"/>
  <cols>
    <col min="1" max="1" width="3" customWidth="1"/>
    <col min="2" max="2" width="38.33203125" customWidth="1"/>
    <col min="3" max="7" width="24.1640625" customWidth="1"/>
  </cols>
  <sheetData>
    <row r="1" spans="2:7" ht="30" customHeight="1" x14ac:dyDescent="0.2">
      <c r="B1" s="10" t="s">
        <v>0</v>
      </c>
      <c r="C1" s="10"/>
      <c r="D1" s="10"/>
      <c r="E1" s="10"/>
      <c r="F1" s="10"/>
      <c r="G1" s="10"/>
    </row>
    <row r="2" spans="2:7" ht="21.75" customHeight="1" x14ac:dyDescent="0.2">
      <c r="B2" s="9" t="s">
        <v>1</v>
      </c>
      <c r="C2" s="9"/>
      <c r="D2" s="9"/>
      <c r="E2" s="9"/>
      <c r="F2" s="9"/>
      <c r="G2" s="9"/>
    </row>
    <row r="3" spans="2:7" ht="15.75" customHeight="1" x14ac:dyDescent="0.2">
      <c r="B3" s="8" t="s">
        <v>2</v>
      </c>
      <c r="C3" s="8"/>
      <c r="D3" s="8"/>
      <c r="E3" s="8"/>
      <c r="F3" s="8"/>
      <c r="G3" s="8"/>
    </row>
    <row r="4" spans="2:7" ht="7.5" customHeight="1" x14ac:dyDescent="0.2"/>
    <row r="5" spans="2:7" ht="18" customHeight="1" x14ac:dyDescent="0.2">
      <c r="B5" s="7" t="s">
        <v>3</v>
      </c>
      <c r="C5" s="7"/>
      <c r="D5" s="7"/>
      <c r="E5" s="7"/>
      <c r="F5" s="7"/>
      <c r="G5" s="7"/>
    </row>
    <row r="6" spans="2:7" ht="19.5" customHeight="1" x14ac:dyDescent="0.2">
      <c r="B6" s="12" t="s">
        <v>4</v>
      </c>
      <c r="C6" s="12" t="s">
        <v>5</v>
      </c>
      <c r="D6" s="12" t="s">
        <v>6</v>
      </c>
      <c r="E6" s="12" t="s">
        <v>7</v>
      </c>
      <c r="F6" s="12" t="s">
        <v>8</v>
      </c>
      <c r="G6" s="12" t="s">
        <v>9</v>
      </c>
    </row>
    <row r="7" spans="2:7" ht="18" customHeight="1" x14ac:dyDescent="0.2">
      <c r="B7" s="13" t="s">
        <v>10</v>
      </c>
      <c r="C7" s="14">
        <v>0.67</v>
      </c>
      <c r="D7" s="14">
        <v>0.78</v>
      </c>
      <c r="E7" s="15">
        <f t="shared" ref="E7:E12" si="0">C7-D7</f>
        <v>-0.10999999999999999</v>
      </c>
      <c r="F7" s="16">
        <f>IF(D7&lt;&gt;0,C7/D7,0)</f>
        <v>0.85897435897435903</v>
      </c>
      <c r="G7" s="17" t="s">
        <v>11</v>
      </c>
    </row>
    <row r="8" spans="2:7" ht="18" customHeight="1" x14ac:dyDescent="0.2">
      <c r="B8" s="13" t="s">
        <v>12</v>
      </c>
      <c r="C8" s="14">
        <v>0.184</v>
      </c>
      <c r="D8" s="14">
        <v>0.1</v>
      </c>
      <c r="E8" s="15">
        <f t="shared" si="0"/>
        <v>8.3999999999999991E-2</v>
      </c>
      <c r="F8" s="16">
        <f>IF(D8&lt;&gt;0,C8/D8,0)</f>
        <v>1.8399999999999999</v>
      </c>
      <c r="G8" s="17" t="s">
        <v>11</v>
      </c>
    </row>
    <row r="9" spans="2:7" ht="18" customHeight="1" x14ac:dyDescent="0.2">
      <c r="B9" s="13" t="s">
        <v>13</v>
      </c>
      <c r="C9" s="18">
        <v>2860</v>
      </c>
      <c r="D9" s="18">
        <v>3200</v>
      </c>
      <c r="E9" s="19">
        <f t="shared" si="0"/>
        <v>-340</v>
      </c>
      <c r="F9" s="16">
        <f>IF(D9&lt;&gt;0,C9/D9,0)</f>
        <v>0.89375000000000004</v>
      </c>
      <c r="G9" s="20" t="s">
        <v>14</v>
      </c>
    </row>
    <row r="10" spans="2:7" ht="18" customHeight="1" x14ac:dyDescent="0.2">
      <c r="B10" s="13" t="s">
        <v>15</v>
      </c>
      <c r="C10" s="18">
        <v>680</v>
      </c>
      <c r="D10" s="18">
        <v>820</v>
      </c>
      <c r="E10" s="19">
        <f t="shared" si="0"/>
        <v>-140</v>
      </c>
      <c r="F10" s="16">
        <f>IF(D10&lt;&gt;0,C10/D10,0)</f>
        <v>0.82926829268292679</v>
      </c>
      <c r="G10" s="20" t="s">
        <v>14</v>
      </c>
    </row>
    <row r="11" spans="2:7" ht="18" customHeight="1" x14ac:dyDescent="0.2">
      <c r="B11" s="13" t="s">
        <v>16</v>
      </c>
      <c r="C11" s="18">
        <v>-340</v>
      </c>
      <c r="D11" s="18">
        <v>0</v>
      </c>
      <c r="E11" s="19">
        <f t="shared" si="0"/>
        <v>-340</v>
      </c>
      <c r="F11" s="21" t="s">
        <v>17</v>
      </c>
      <c r="G11" s="17" t="s">
        <v>11</v>
      </c>
    </row>
    <row r="12" spans="2:7" ht="18" customHeight="1" x14ac:dyDescent="0.2">
      <c r="B12" s="13" t="s">
        <v>18</v>
      </c>
      <c r="C12" s="14">
        <v>3.2</v>
      </c>
      <c r="D12" s="14">
        <v>5</v>
      </c>
      <c r="E12" s="15">
        <f t="shared" si="0"/>
        <v>-1.7999999999999998</v>
      </c>
      <c r="F12" s="16">
        <f>IF(D12&lt;&gt;0,C12/D12,0)</f>
        <v>0.64</v>
      </c>
      <c r="G12" s="20" t="s">
        <v>14</v>
      </c>
    </row>
    <row r="13" spans="2:7" ht="9.75" customHeight="1" x14ac:dyDescent="0.2"/>
    <row r="14" spans="2:7" ht="18" customHeight="1" x14ac:dyDescent="0.2">
      <c r="B14" s="7" t="s">
        <v>19</v>
      </c>
      <c r="C14" s="7"/>
      <c r="D14" s="7"/>
      <c r="E14" s="7"/>
      <c r="F14" s="7"/>
      <c r="G14" s="7"/>
    </row>
    <row r="15" spans="2:7" ht="21.75" customHeight="1" x14ac:dyDescent="0.2">
      <c r="B15" s="12" t="s">
        <v>20</v>
      </c>
      <c r="C15" s="12" t="s">
        <v>21</v>
      </c>
      <c r="D15" s="12" t="s">
        <v>22</v>
      </c>
      <c r="E15" s="12" t="s">
        <v>23</v>
      </c>
      <c r="F15" s="12" t="s">
        <v>24</v>
      </c>
      <c r="G15" s="12" t="s">
        <v>25</v>
      </c>
    </row>
    <row r="16" spans="2:7" ht="18" customHeight="1" x14ac:dyDescent="0.2">
      <c r="B16" s="13" t="s">
        <v>26</v>
      </c>
      <c r="C16" s="22">
        <v>0.42</v>
      </c>
      <c r="D16" s="23">
        <f>ROUND(C9*C8*C16,0)</f>
        <v>221</v>
      </c>
      <c r="E16" s="24">
        <f>ROUND(D16*8,1)</f>
        <v>1768</v>
      </c>
      <c r="F16" s="17" t="s">
        <v>27</v>
      </c>
      <c r="G16" s="25" t="s">
        <v>28</v>
      </c>
    </row>
    <row r="17" spans="2:7" ht="18" customHeight="1" x14ac:dyDescent="0.2">
      <c r="B17" s="13" t="s">
        <v>29</v>
      </c>
      <c r="C17" s="22">
        <v>0.31</v>
      </c>
      <c r="D17" s="23">
        <f>ROUND(C9*C8*C17,0)</f>
        <v>163</v>
      </c>
      <c r="E17" s="24">
        <f>ROUND(D17*8,1)</f>
        <v>1304</v>
      </c>
      <c r="F17" s="17" t="s">
        <v>27</v>
      </c>
      <c r="G17" s="25" t="s">
        <v>30</v>
      </c>
    </row>
    <row r="18" spans="2:7" ht="18" customHeight="1" x14ac:dyDescent="0.2">
      <c r="B18" s="13" t="s">
        <v>31</v>
      </c>
      <c r="C18" s="22">
        <v>0.27</v>
      </c>
      <c r="D18" s="23">
        <f>ROUND(C9*C8*C18,0)</f>
        <v>142</v>
      </c>
      <c r="E18" s="24">
        <f>ROUND(D18*8,1)</f>
        <v>1136</v>
      </c>
      <c r="F18" s="20" t="s">
        <v>32</v>
      </c>
      <c r="G18" s="25" t="s">
        <v>33</v>
      </c>
    </row>
    <row r="19" spans="2:7" ht="9.75" customHeight="1" x14ac:dyDescent="0.2"/>
    <row r="20" spans="2:7" ht="18" customHeight="1" x14ac:dyDescent="0.2">
      <c r="B20" s="7" t="s">
        <v>34</v>
      </c>
      <c r="C20" s="7"/>
      <c r="D20" s="7"/>
      <c r="E20" s="7"/>
      <c r="F20" s="7"/>
      <c r="G20" s="7"/>
    </row>
    <row r="21" spans="2:7" ht="18" customHeight="1" x14ac:dyDescent="0.2">
      <c r="B21" s="26" t="s">
        <v>35</v>
      </c>
      <c r="C21" s="27">
        <v>450</v>
      </c>
    </row>
    <row r="22" spans="2:7" ht="18" customHeight="1" x14ac:dyDescent="0.2">
      <c r="B22" s="13" t="s">
        <v>36</v>
      </c>
      <c r="C22" s="28">
        <v>1.8</v>
      </c>
    </row>
    <row r="23" spans="2:7" ht="18" customHeight="1" x14ac:dyDescent="0.2">
      <c r="B23" s="13" t="s">
        <v>37</v>
      </c>
      <c r="C23" s="23">
        <f>ROUND(C21/C22,0)</f>
        <v>250</v>
      </c>
    </row>
    <row r="25" spans="2:7" ht="13.5" customHeight="1" x14ac:dyDescent="0.2">
      <c r="B25" s="6" t="s">
        <v>38</v>
      </c>
      <c r="C25" s="6"/>
      <c r="D25" s="6"/>
      <c r="E25" s="6"/>
      <c r="F25" s="6"/>
      <c r="G25" s="6"/>
    </row>
  </sheetData>
  <mergeCells count="7">
    <mergeCell ref="B20:G20"/>
    <mergeCell ref="B25:G25"/>
    <mergeCell ref="B1:G1"/>
    <mergeCell ref="B2:G2"/>
    <mergeCell ref="B3:G3"/>
    <mergeCell ref="B5:G5"/>
    <mergeCell ref="B14:G14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27"/>
  <sheetViews>
    <sheetView showGridLines="0" zoomScaleNormal="100" workbookViewId="0"/>
  </sheetViews>
  <sheetFormatPr baseColWidth="10" defaultColWidth="8.6640625" defaultRowHeight="15" x14ac:dyDescent="0.2"/>
  <cols>
    <col min="1" max="1" width="3" customWidth="1"/>
    <col min="2" max="2" width="28" customWidth="1"/>
    <col min="3" max="7" width="14" customWidth="1"/>
    <col min="8" max="9" width="16" customWidth="1"/>
  </cols>
  <sheetData>
    <row r="1" spans="2:9" ht="27.75" customHeight="1" x14ac:dyDescent="0.2">
      <c r="B1" s="5" t="s">
        <v>39</v>
      </c>
      <c r="C1" s="5"/>
      <c r="D1" s="5"/>
      <c r="E1" s="5"/>
      <c r="F1" s="5"/>
      <c r="G1" s="5"/>
      <c r="H1" s="5"/>
      <c r="I1" s="5"/>
    </row>
    <row r="2" spans="2:9" ht="18" customHeight="1" x14ac:dyDescent="0.2">
      <c r="B2" s="4" t="s">
        <v>40</v>
      </c>
      <c r="C2" s="4"/>
      <c r="D2" s="4"/>
      <c r="E2" s="4"/>
      <c r="F2" s="4"/>
      <c r="G2" s="4"/>
      <c r="H2" s="4"/>
      <c r="I2" s="4"/>
    </row>
    <row r="3" spans="2:9" ht="7.5" customHeight="1" x14ac:dyDescent="0.2"/>
    <row r="4" spans="2:9" ht="18" customHeight="1" x14ac:dyDescent="0.2">
      <c r="B4" s="7" t="s">
        <v>41</v>
      </c>
      <c r="C4" s="7"/>
      <c r="D4" s="7"/>
      <c r="E4" s="7"/>
      <c r="F4" s="7"/>
      <c r="G4" s="7"/>
      <c r="H4" s="7"/>
      <c r="I4" s="7"/>
    </row>
    <row r="5" spans="2:9" ht="19.5" customHeight="1" x14ac:dyDescent="0.2">
      <c r="B5" s="29" t="s">
        <v>42</v>
      </c>
      <c r="C5" s="30" t="s">
        <v>43</v>
      </c>
      <c r="D5" s="30" t="s">
        <v>44</v>
      </c>
      <c r="E5" s="30" t="s">
        <v>45</v>
      </c>
      <c r="F5" s="30" t="s">
        <v>46</v>
      </c>
      <c r="G5" s="30" t="s">
        <v>47</v>
      </c>
      <c r="H5" s="30" t="s">
        <v>48</v>
      </c>
      <c r="I5" s="30" t="s">
        <v>49</v>
      </c>
    </row>
    <row r="6" spans="2:9" ht="16.5" customHeight="1" x14ac:dyDescent="0.2">
      <c r="B6" s="13" t="s">
        <v>50</v>
      </c>
      <c r="C6" s="18">
        <v>742</v>
      </c>
      <c r="D6" s="18">
        <v>718</v>
      </c>
      <c r="E6" s="18">
        <v>695</v>
      </c>
      <c r="F6" s="18">
        <v>710</v>
      </c>
      <c r="G6" s="18">
        <v>682</v>
      </c>
      <c r="H6" s="31">
        <f t="shared" ref="H6:H14" si="0">G6</f>
        <v>682</v>
      </c>
      <c r="I6" s="32">
        <f t="shared" ref="I6:I14" si="1">(G6-F6)/F6</f>
        <v>-3.9436619718309862E-2</v>
      </c>
    </row>
    <row r="7" spans="2:9" ht="16.5" customHeight="1" x14ac:dyDescent="0.2">
      <c r="B7" s="13" t="s">
        <v>51</v>
      </c>
      <c r="C7" s="18">
        <v>620</v>
      </c>
      <c r="D7" s="18">
        <v>608</v>
      </c>
      <c r="E7" s="18">
        <v>598</v>
      </c>
      <c r="F7" s="18">
        <v>601</v>
      </c>
      <c r="G7" s="18">
        <v>587</v>
      </c>
      <c r="H7" s="31">
        <f t="shared" si="0"/>
        <v>587</v>
      </c>
      <c r="I7" s="32">
        <f t="shared" si="1"/>
        <v>-2.329450915141431E-2</v>
      </c>
    </row>
    <row r="8" spans="2:9" ht="16.5" customHeight="1" x14ac:dyDescent="0.2">
      <c r="B8" s="13" t="s">
        <v>52</v>
      </c>
      <c r="C8" s="18">
        <v>445</v>
      </c>
      <c r="D8" s="18">
        <v>438</v>
      </c>
      <c r="E8" s="18">
        <v>421</v>
      </c>
      <c r="F8" s="18">
        <v>430</v>
      </c>
      <c r="G8" s="18">
        <v>412</v>
      </c>
      <c r="H8" s="31">
        <f t="shared" si="0"/>
        <v>412</v>
      </c>
      <c r="I8" s="32">
        <f t="shared" si="1"/>
        <v>-4.1860465116279069E-2</v>
      </c>
    </row>
    <row r="9" spans="2:9" ht="16.5" customHeight="1" x14ac:dyDescent="0.2">
      <c r="B9" s="13" t="s">
        <v>53</v>
      </c>
      <c r="C9" s="18">
        <v>380</v>
      </c>
      <c r="D9" s="18">
        <v>371</v>
      </c>
      <c r="E9" s="18">
        <v>362</v>
      </c>
      <c r="F9" s="18">
        <v>368</v>
      </c>
      <c r="G9" s="18">
        <v>354</v>
      </c>
      <c r="H9" s="31">
        <f t="shared" si="0"/>
        <v>354</v>
      </c>
      <c r="I9" s="32">
        <f t="shared" si="1"/>
        <v>-3.8043478260869568E-2</v>
      </c>
    </row>
    <row r="10" spans="2:9" ht="16.5" customHeight="1" x14ac:dyDescent="0.2">
      <c r="B10" s="13" t="s">
        <v>54</v>
      </c>
      <c r="C10" s="18">
        <v>298</v>
      </c>
      <c r="D10" s="18">
        <v>292</v>
      </c>
      <c r="E10" s="18">
        <v>285</v>
      </c>
      <c r="F10" s="18">
        <v>290</v>
      </c>
      <c r="G10" s="18">
        <v>283</v>
      </c>
      <c r="H10" s="31">
        <f t="shared" si="0"/>
        <v>283</v>
      </c>
      <c r="I10" s="32">
        <f t="shared" si="1"/>
        <v>-2.4137931034482758E-2</v>
      </c>
    </row>
    <row r="11" spans="2:9" ht="16.5" customHeight="1" x14ac:dyDescent="0.2">
      <c r="B11" s="13" t="s">
        <v>55</v>
      </c>
      <c r="C11" s="18">
        <v>168</v>
      </c>
      <c r="D11" s="18">
        <v>172</v>
      </c>
      <c r="E11" s="18">
        <v>178</v>
      </c>
      <c r="F11" s="18">
        <v>185</v>
      </c>
      <c r="G11" s="18">
        <v>190</v>
      </c>
      <c r="H11" s="31">
        <f t="shared" si="0"/>
        <v>190</v>
      </c>
      <c r="I11" s="32">
        <f t="shared" si="1"/>
        <v>2.7027027027027029E-2</v>
      </c>
    </row>
    <row r="12" spans="2:9" ht="16.5" customHeight="1" x14ac:dyDescent="0.2">
      <c r="B12" s="13" t="s">
        <v>56</v>
      </c>
      <c r="C12" s="18">
        <v>142</v>
      </c>
      <c r="D12" s="18">
        <v>148</v>
      </c>
      <c r="E12" s="18">
        <v>155</v>
      </c>
      <c r="F12" s="18">
        <v>162</v>
      </c>
      <c r="G12" s="18">
        <v>168</v>
      </c>
      <c r="H12" s="31">
        <f t="shared" si="0"/>
        <v>168</v>
      </c>
      <c r="I12" s="32">
        <f t="shared" si="1"/>
        <v>3.7037037037037035E-2</v>
      </c>
    </row>
    <row r="13" spans="2:9" ht="16.5" customHeight="1" x14ac:dyDescent="0.2">
      <c r="B13" s="13" t="s">
        <v>57</v>
      </c>
      <c r="C13" s="18">
        <v>187</v>
      </c>
      <c r="D13" s="18">
        <v>195</v>
      </c>
      <c r="E13" s="18">
        <v>201</v>
      </c>
      <c r="F13" s="18">
        <v>214</v>
      </c>
      <c r="G13" s="18">
        <v>184</v>
      </c>
      <c r="H13" s="31">
        <f t="shared" si="0"/>
        <v>184</v>
      </c>
      <c r="I13" s="32">
        <f t="shared" si="1"/>
        <v>-0.14018691588785046</v>
      </c>
    </row>
    <row r="14" spans="2:9" ht="19.5" customHeight="1" x14ac:dyDescent="0.2">
      <c r="B14" s="33" t="s">
        <v>58</v>
      </c>
      <c r="C14" s="34">
        <f>SUM(C6:C13)</f>
        <v>2982</v>
      </c>
      <c r="D14" s="34">
        <f>SUM(D6:D13)</f>
        <v>2942</v>
      </c>
      <c r="E14" s="34">
        <f>SUM(E6:E13)</f>
        <v>2895</v>
      </c>
      <c r="F14" s="34">
        <f>SUM(F6:F13)</f>
        <v>2960</v>
      </c>
      <c r="G14" s="34">
        <f>SUM(G6:G13)</f>
        <v>2860</v>
      </c>
      <c r="H14" s="34">
        <f t="shared" si="0"/>
        <v>2860</v>
      </c>
      <c r="I14" s="35">
        <f t="shared" si="1"/>
        <v>-3.3783783783783786E-2</v>
      </c>
    </row>
    <row r="15" spans="2:9" ht="9.75" customHeight="1" x14ac:dyDescent="0.2"/>
    <row r="16" spans="2:9" ht="18" customHeight="1" x14ac:dyDescent="0.2">
      <c r="B16" s="7" t="s">
        <v>59</v>
      </c>
      <c r="C16" s="7"/>
      <c r="D16" s="7"/>
      <c r="E16" s="7"/>
      <c r="F16" s="7"/>
      <c r="G16" s="7"/>
      <c r="H16" s="7"/>
      <c r="I16" s="7"/>
    </row>
    <row r="17" spans="2:8" ht="19.5" customHeight="1" x14ac:dyDescent="0.2">
      <c r="B17" s="29" t="s">
        <v>42</v>
      </c>
      <c r="C17" s="30" t="s">
        <v>43</v>
      </c>
      <c r="D17" s="30" t="s">
        <v>44</v>
      </c>
      <c r="E17" s="30" t="s">
        <v>45</v>
      </c>
      <c r="F17" s="30" t="s">
        <v>46</v>
      </c>
      <c r="G17" s="30" t="s">
        <v>47</v>
      </c>
      <c r="H17" s="30" t="s">
        <v>60</v>
      </c>
    </row>
    <row r="18" spans="2:8" ht="16.5" customHeight="1" x14ac:dyDescent="0.2">
      <c r="B18" s="13" t="s">
        <v>50</v>
      </c>
      <c r="C18" s="36">
        <v>0.72</v>
      </c>
      <c r="D18" s="36">
        <v>0.7</v>
      </c>
      <c r="E18" s="37">
        <v>0.68</v>
      </c>
      <c r="F18" s="37">
        <v>0.69</v>
      </c>
      <c r="G18" s="37">
        <v>0.67</v>
      </c>
      <c r="H18" s="38">
        <f t="shared" ref="H18:H26" si="2">AVERAGE(C18:G18)</f>
        <v>0.69199999999999995</v>
      </c>
    </row>
    <row r="19" spans="2:8" ht="16.5" customHeight="1" x14ac:dyDescent="0.2">
      <c r="B19" s="13" t="s">
        <v>51</v>
      </c>
      <c r="C19" s="36">
        <v>0.74</v>
      </c>
      <c r="D19" s="36">
        <v>0.73</v>
      </c>
      <c r="E19" s="36">
        <v>0.71</v>
      </c>
      <c r="F19" s="36">
        <v>0.72</v>
      </c>
      <c r="G19" s="36">
        <v>0.7</v>
      </c>
      <c r="H19" s="38">
        <f t="shared" si="2"/>
        <v>0.72</v>
      </c>
    </row>
    <row r="20" spans="2:8" ht="16.5" customHeight="1" x14ac:dyDescent="0.2">
      <c r="B20" s="13" t="s">
        <v>52</v>
      </c>
      <c r="C20" s="37">
        <v>0.69</v>
      </c>
      <c r="D20" s="37">
        <v>0.68</v>
      </c>
      <c r="E20" s="37">
        <v>0.66</v>
      </c>
      <c r="F20" s="37">
        <v>0.67</v>
      </c>
      <c r="G20" s="37">
        <v>0.65</v>
      </c>
      <c r="H20" s="38">
        <f t="shared" si="2"/>
        <v>0.67</v>
      </c>
    </row>
    <row r="21" spans="2:8" ht="16.5" customHeight="1" x14ac:dyDescent="0.2">
      <c r="B21" s="13" t="s">
        <v>53</v>
      </c>
      <c r="C21" s="36">
        <v>0.71</v>
      </c>
      <c r="D21" s="36">
        <v>0.7</v>
      </c>
      <c r="E21" s="37">
        <v>0.69</v>
      </c>
      <c r="F21" s="37">
        <v>0.68</v>
      </c>
      <c r="G21" s="37">
        <v>0.66</v>
      </c>
      <c r="H21" s="38">
        <f t="shared" si="2"/>
        <v>0.68799999999999994</v>
      </c>
    </row>
    <row r="22" spans="2:8" ht="16.5" customHeight="1" x14ac:dyDescent="0.2">
      <c r="B22" s="13" t="s">
        <v>54</v>
      </c>
      <c r="C22" s="37">
        <v>0.68</v>
      </c>
      <c r="D22" s="37">
        <v>0.67</v>
      </c>
      <c r="E22" s="37">
        <v>0.65</v>
      </c>
      <c r="F22" s="37">
        <v>0.66</v>
      </c>
      <c r="G22" s="37">
        <v>0.64</v>
      </c>
      <c r="H22" s="38">
        <f t="shared" si="2"/>
        <v>0.66</v>
      </c>
    </row>
    <row r="23" spans="2:8" ht="16.5" customHeight="1" x14ac:dyDescent="0.2">
      <c r="B23" s="13" t="s">
        <v>55</v>
      </c>
      <c r="C23" s="39">
        <v>0.89</v>
      </c>
      <c r="D23" s="39">
        <v>0.88</v>
      </c>
      <c r="E23" s="39">
        <v>0.87</v>
      </c>
      <c r="F23" s="39">
        <v>0.88</v>
      </c>
      <c r="G23" s="39">
        <v>0.87</v>
      </c>
      <c r="H23" s="38">
        <f t="shared" si="2"/>
        <v>0.87799999999999989</v>
      </c>
    </row>
    <row r="24" spans="2:8" ht="16.5" customHeight="1" x14ac:dyDescent="0.2">
      <c r="B24" s="13" t="s">
        <v>56</v>
      </c>
      <c r="C24" s="39">
        <v>0.87</v>
      </c>
      <c r="D24" s="39">
        <v>0.86</v>
      </c>
      <c r="E24" s="39">
        <v>0.85</v>
      </c>
      <c r="F24" s="39">
        <v>0.86</v>
      </c>
      <c r="G24" s="39">
        <v>0.85</v>
      </c>
      <c r="H24" s="38">
        <f t="shared" si="2"/>
        <v>0.85799999999999998</v>
      </c>
    </row>
    <row r="25" spans="2:8" ht="16.5" customHeight="1" x14ac:dyDescent="0.2">
      <c r="B25" s="13" t="s">
        <v>57</v>
      </c>
      <c r="C25" s="39">
        <v>0.82</v>
      </c>
      <c r="D25" s="39">
        <v>0.81</v>
      </c>
      <c r="E25" s="39">
        <v>0.83</v>
      </c>
      <c r="F25" s="39">
        <v>0.8</v>
      </c>
      <c r="G25" s="39">
        <v>0.79</v>
      </c>
      <c r="H25" s="38">
        <f t="shared" si="2"/>
        <v>0.80999999999999994</v>
      </c>
    </row>
    <row r="26" spans="2:8" ht="19.5" customHeight="1" x14ac:dyDescent="0.2">
      <c r="B26" s="33" t="s">
        <v>61</v>
      </c>
      <c r="C26" s="40">
        <f>AVERAGE(C18:C25)</f>
        <v>0.76500000000000001</v>
      </c>
      <c r="D26" s="40">
        <f>AVERAGE(D18:D25)</f>
        <v>0.75374999999999992</v>
      </c>
      <c r="E26" s="40">
        <f>AVERAGE(E18:E25)</f>
        <v>0.74249999999999994</v>
      </c>
      <c r="F26" s="40">
        <f>AVERAGE(F18:F25)</f>
        <v>0.74500000000000011</v>
      </c>
      <c r="G26" s="40">
        <f>AVERAGE(G18:G25)</f>
        <v>0.72875000000000001</v>
      </c>
      <c r="H26" s="40">
        <f t="shared" si="2"/>
        <v>0.74699999999999989</v>
      </c>
    </row>
    <row r="27" spans="2:8" ht="16.5" customHeight="1" x14ac:dyDescent="0.2">
      <c r="B27" s="41" t="s">
        <v>62</v>
      </c>
      <c r="G27" s="42">
        <v>0.78</v>
      </c>
    </row>
  </sheetData>
  <mergeCells count="4">
    <mergeCell ref="B1:I1"/>
    <mergeCell ref="B2:I2"/>
    <mergeCell ref="B4:I4"/>
    <mergeCell ref="B16:I16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19"/>
  <sheetViews>
    <sheetView showGridLines="0" zoomScaleNormal="100" workbookViewId="0"/>
  </sheetViews>
  <sheetFormatPr baseColWidth="10" defaultColWidth="8.6640625" defaultRowHeight="15" x14ac:dyDescent="0.2"/>
  <cols>
    <col min="1" max="1" width="3" customWidth="1"/>
    <col min="2" max="2" width="30" customWidth="1"/>
    <col min="3" max="3" width="16" customWidth="1"/>
    <col min="4" max="5" width="18" customWidth="1"/>
    <col min="6" max="6" width="22" customWidth="1"/>
    <col min="7" max="8" width="20" customWidth="1"/>
  </cols>
  <sheetData>
    <row r="1" spans="2:9" ht="27.75" customHeight="1" x14ac:dyDescent="0.2">
      <c r="B1" s="5" t="s">
        <v>63</v>
      </c>
      <c r="C1" s="5"/>
      <c r="D1" s="5"/>
      <c r="E1" s="5"/>
      <c r="F1" s="5"/>
      <c r="G1" s="5"/>
      <c r="H1" s="5"/>
    </row>
    <row r="2" spans="2:9" ht="18" customHeight="1" x14ac:dyDescent="0.2">
      <c r="B2" s="4" t="s">
        <v>64</v>
      </c>
      <c r="C2" s="4"/>
      <c r="D2" s="4"/>
      <c r="E2" s="4"/>
      <c r="F2" s="4"/>
      <c r="G2" s="4"/>
      <c r="H2" s="4"/>
    </row>
    <row r="3" spans="2:9" ht="7.5" customHeight="1" x14ac:dyDescent="0.2"/>
    <row r="4" spans="2:9" ht="18" customHeight="1" x14ac:dyDescent="0.2">
      <c r="B4" s="7" t="s">
        <v>65</v>
      </c>
      <c r="C4" s="7"/>
      <c r="D4" s="7"/>
      <c r="E4" s="7"/>
      <c r="F4" s="7"/>
      <c r="G4" s="7"/>
      <c r="H4" s="7"/>
    </row>
    <row r="5" spans="2:9" ht="21.75" customHeight="1" x14ac:dyDescent="0.2">
      <c r="B5" s="12" t="s">
        <v>42</v>
      </c>
      <c r="C5" s="12" t="s">
        <v>66</v>
      </c>
      <c r="D5" s="12" t="s">
        <v>67</v>
      </c>
      <c r="E5" s="12" t="s">
        <v>68</v>
      </c>
      <c r="F5" s="12" t="s">
        <v>69</v>
      </c>
      <c r="G5" s="12" t="s">
        <v>70</v>
      </c>
      <c r="H5" s="12" t="s">
        <v>71</v>
      </c>
      <c r="I5" s="12" t="s">
        <v>72</v>
      </c>
    </row>
    <row r="6" spans="2:9" ht="16.5" customHeight="1" x14ac:dyDescent="0.2">
      <c r="B6" s="13" t="s">
        <v>50</v>
      </c>
      <c r="C6" s="18">
        <v>138</v>
      </c>
      <c r="D6" s="18">
        <v>28</v>
      </c>
      <c r="E6" s="43">
        <f t="shared" ref="E6:E13" si="0">D6/C6</f>
        <v>0.20289855072463769</v>
      </c>
      <c r="F6" s="18">
        <v>22</v>
      </c>
      <c r="G6" s="15">
        <f t="shared" ref="G6:G13" si="1">F6/C6</f>
        <v>0.15942028985507245</v>
      </c>
      <c r="H6" s="38">
        <f t="shared" ref="H6:H13" si="2">1-(D6+F6)/C6</f>
        <v>0.6376811594202898</v>
      </c>
      <c r="I6" s="32">
        <f t="shared" ref="I6:I13" si="3">H6-0.78</f>
        <v>-0.14231884057971023</v>
      </c>
    </row>
    <row r="7" spans="2:9" ht="16.5" customHeight="1" x14ac:dyDescent="0.2">
      <c r="B7" s="13" t="s">
        <v>51</v>
      </c>
      <c r="C7" s="18">
        <v>118</v>
      </c>
      <c r="D7" s="18">
        <v>22</v>
      </c>
      <c r="E7" s="43">
        <f t="shared" si="0"/>
        <v>0.1864406779661017</v>
      </c>
      <c r="F7" s="18">
        <v>18</v>
      </c>
      <c r="G7" s="15">
        <f t="shared" si="1"/>
        <v>0.15254237288135594</v>
      </c>
      <c r="H7" s="38">
        <f t="shared" si="2"/>
        <v>0.66101694915254239</v>
      </c>
      <c r="I7" s="32">
        <f t="shared" si="3"/>
        <v>-0.11898305084745764</v>
      </c>
    </row>
    <row r="8" spans="2:9" ht="16.5" customHeight="1" x14ac:dyDescent="0.2">
      <c r="B8" s="13" t="s">
        <v>52</v>
      </c>
      <c r="C8" s="18">
        <v>85</v>
      </c>
      <c r="D8" s="18">
        <v>18</v>
      </c>
      <c r="E8" s="43">
        <f t="shared" si="0"/>
        <v>0.21176470588235294</v>
      </c>
      <c r="F8" s="18">
        <v>14</v>
      </c>
      <c r="G8" s="15">
        <f t="shared" si="1"/>
        <v>0.16470588235294117</v>
      </c>
      <c r="H8" s="38">
        <f t="shared" si="2"/>
        <v>0.62352941176470589</v>
      </c>
      <c r="I8" s="32">
        <f t="shared" si="3"/>
        <v>-0.15647058823529414</v>
      </c>
    </row>
    <row r="9" spans="2:9" ht="16.5" customHeight="1" x14ac:dyDescent="0.2">
      <c r="B9" s="13" t="s">
        <v>53</v>
      </c>
      <c r="C9" s="18">
        <v>72</v>
      </c>
      <c r="D9" s="18">
        <v>15</v>
      </c>
      <c r="E9" s="43">
        <f t="shared" si="0"/>
        <v>0.20833333333333334</v>
      </c>
      <c r="F9" s="18">
        <v>11</v>
      </c>
      <c r="G9" s="15">
        <f t="shared" si="1"/>
        <v>0.15277777777777779</v>
      </c>
      <c r="H9" s="38">
        <f t="shared" si="2"/>
        <v>0.63888888888888884</v>
      </c>
      <c r="I9" s="32">
        <f t="shared" si="3"/>
        <v>-0.14111111111111119</v>
      </c>
    </row>
    <row r="10" spans="2:9" ht="16.5" customHeight="1" x14ac:dyDescent="0.2">
      <c r="B10" s="13" t="s">
        <v>54</v>
      </c>
      <c r="C10" s="18">
        <v>58</v>
      </c>
      <c r="D10" s="18">
        <v>13</v>
      </c>
      <c r="E10" s="43">
        <f t="shared" si="0"/>
        <v>0.22413793103448276</v>
      </c>
      <c r="F10" s="18">
        <v>10</v>
      </c>
      <c r="G10" s="15">
        <f t="shared" si="1"/>
        <v>0.17241379310344829</v>
      </c>
      <c r="H10" s="38">
        <f t="shared" si="2"/>
        <v>0.60344827586206895</v>
      </c>
      <c r="I10" s="32">
        <f t="shared" si="3"/>
        <v>-0.17655172413793108</v>
      </c>
    </row>
    <row r="11" spans="2:9" ht="16.5" customHeight="1" x14ac:dyDescent="0.2">
      <c r="B11" s="13" t="s">
        <v>55</v>
      </c>
      <c r="C11" s="18">
        <v>24</v>
      </c>
      <c r="D11" s="18">
        <v>2</v>
      </c>
      <c r="E11" s="43">
        <f t="shared" si="0"/>
        <v>8.3333333333333329E-2</v>
      </c>
      <c r="F11" s="18">
        <v>2</v>
      </c>
      <c r="G11" s="15">
        <f t="shared" si="1"/>
        <v>8.3333333333333329E-2</v>
      </c>
      <c r="H11" s="38">
        <f t="shared" si="2"/>
        <v>0.83333333333333337</v>
      </c>
      <c r="I11" s="32">
        <f t="shared" si="3"/>
        <v>5.3333333333333344E-2</v>
      </c>
    </row>
    <row r="12" spans="2:9" ht="16.5" customHeight="1" x14ac:dyDescent="0.2">
      <c r="B12" s="13" t="s">
        <v>56</v>
      </c>
      <c r="C12" s="18">
        <v>22</v>
      </c>
      <c r="D12" s="18">
        <v>2</v>
      </c>
      <c r="E12" s="43">
        <f t="shared" si="0"/>
        <v>9.0909090909090912E-2</v>
      </c>
      <c r="F12" s="18">
        <v>2</v>
      </c>
      <c r="G12" s="15">
        <f t="shared" si="1"/>
        <v>9.0909090909090912E-2</v>
      </c>
      <c r="H12" s="38">
        <f t="shared" si="2"/>
        <v>0.81818181818181812</v>
      </c>
      <c r="I12" s="32">
        <f t="shared" si="3"/>
        <v>3.8181818181818095E-2</v>
      </c>
    </row>
    <row r="13" spans="2:9" ht="19.5" customHeight="1" x14ac:dyDescent="0.2">
      <c r="B13" s="33" t="s">
        <v>58</v>
      </c>
      <c r="C13" s="34">
        <f>SUM(C6:C12)</f>
        <v>517</v>
      </c>
      <c r="D13" s="34">
        <f>SUM(D6:D12)</f>
        <v>100</v>
      </c>
      <c r="E13" s="40">
        <f t="shared" si="0"/>
        <v>0.19342359767891681</v>
      </c>
      <c r="F13" s="34">
        <f>SUM(F6:F12)</f>
        <v>79</v>
      </c>
      <c r="G13" s="40">
        <f t="shared" si="1"/>
        <v>0.15280464216634429</v>
      </c>
      <c r="H13" s="40">
        <f t="shared" si="2"/>
        <v>0.65377176015473881</v>
      </c>
      <c r="I13" s="40">
        <f t="shared" si="3"/>
        <v>-0.12622823984526121</v>
      </c>
    </row>
    <row r="14" spans="2:9" ht="9.75" customHeight="1" x14ac:dyDescent="0.2"/>
    <row r="15" spans="2:9" ht="18" customHeight="1" x14ac:dyDescent="0.2">
      <c r="B15" s="7" t="s">
        <v>73</v>
      </c>
      <c r="C15" s="7"/>
      <c r="D15" s="7"/>
      <c r="E15" s="7"/>
      <c r="F15" s="7"/>
      <c r="G15" s="7"/>
      <c r="H15" s="7"/>
    </row>
    <row r="16" spans="2:9" ht="21.75" customHeight="1" x14ac:dyDescent="0.2">
      <c r="B16" s="12" t="s">
        <v>74</v>
      </c>
      <c r="C16" s="12" t="s">
        <v>75</v>
      </c>
      <c r="D16" s="12" t="s">
        <v>76</v>
      </c>
      <c r="E16" s="12" t="s">
        <v>77</v>
      </c>
      <c r="F16" s="12" t="s">
        <v>78</v>
      </c>
      <c r="G16" s="12" t="s">
        <v>79</v>
      </c>
      <c r="H16" s="12" t="s">
        <v>80</v>
      </c>
    </row>
    <row r="17" spans="2:8" ht="16.5" customHeight="1" x14ac:dyDescent="0.2">
      <c r="B17" s="13" t="s">
        <v>81</v>
      </c>
      <c r="C17" s="18">
        <v>104</v>
      </c>
      <c r="D17" s="16">
        <f>C17/SUM($C$17:$C$19)</f>
        <v>0.42105263157894735</v>
      </c>
      <c r="E17" s="44" t="s">
        <v>50</v>
      </c>
      <c r="F17" s="44" t="s">
        <v>82</v>
      </c>
      <c r="G17" s="45">
        <f>ROUND(C17*8,1)</f>
        <v>832</v>
      </c>
      <c r="H17" s="45">
        <f>SUM($G$17:G17)</f>
        <v>832</v>
      </c>
    </row>
    <row r="18" spans="2:8" ht="16.5" customHeight="1" x14ac:dyDescent="0.2">
      <c r="B18" s="13" t="s">
        <v>83</v>
      </c>
      <c r="C18" s="18">
        <v>77</v>
      </c>
      <c r="D18" s="16">
        <f>C18/SUM($C$17:$C$19)</f>
        <v>0.31174089068825911</v>
      </c>
      <c r="E18" s="44" t="s">
        <v>54</v>
      </c>
      <c r="F18" s="44" t="s">
        <v>84</v>
      </c>
      <c r="G18" s="45">
        <f>ROUND(C18*8,1)</f>
        <v>616</v>
      </c>
      <c r="H18" s="45">
        <f>SUM($G$17:G18)</f>
        <v>1448</v>
      </c>
    </row>
    <row r="19" spans="2:8" ht="16.5" customHeight="1" x14ac:dyDescent="0.2">
      <c r="B19" s="13" t="s">
        <v>85</v>
      </c>
      <c r="C19" s="18">
        <v>66</v>
      </c>
      <c r="D19" s="16">
        <f>C19/SUM($C$17:$C$19)</f>
        <v>0.26720647773279355</v>
      </c>
      <c r="E19" s="44" t="s">
        <v>86</v>
      </c>
      <c r="F19" s="44" t="s">
        <v>82</v>
      </c>
      <c r="G19" s="45">
        <f>ROUND(C19*8,1)</f>
        <v>528</v>
      </c>
      <c r="H19" s="45">
        <f>SUM($G$17:G19)</f>
        <v>1976</v>
      </c>
    </row>
  </sheetData>
  <mergeCells count="4">
    <mergeCell ref="B1:H1"/>
    <mergeCell ref="B2:H2"/>
    <mergeCell ref="B4:H4"/>
    <mergeCell ref="B15:H15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J35"/>
  <sheetViews>
    <sheetView showGridLines="0" zoomScaleNormal="100" workbookViewId="0"/>
  </sheetViews>
  <sheetFormatPr baseColWidth="10" defaultColWidth="8.6640625" defaultRowHeight="15" x14ac:dyDescent="0.2"/>
  <cols>
    <col min="1" max="1" width="3" customWidth="1"/>
    <col min="2" max="2" width="30" customWidth="1"/>
    <col min="3" max="5" width="16" customWidth="1"/>
    <col min="6" max="6" width="3" customWidth="1"/>
    <col min="7" max="9" width="16" customWidth="1"/>
    <col min="10" max="10" width="20" customWidth="1"/>
  </cols>
  <sheetData>
    <row r="1" spans="2:10" ht="27.75" customHeight="1" x14ac:dyDescent="0.2">
      <c r="B1" s="5" t="s">
        <v>87</v>
      </c>
      <c r="C1" s="5"/>
      <c r="D1" s="5"/>
      <c r="E1" s="5"/>
      <c r="F1" s="5"/>
      <c r="G1" s="5"/>
      <c r="H1" s="5"/>
      <c r="I1" s="5"/>
      <c r="J1" s="5"/>
    </row>
    <row r="2" spans="2:10" ht="18" customHeight="1" x14ac:dyDescent="0.2">
      <c r="B2" s="4" t="s">
        <v>88</v>
      </c>
      <c r="C2" s="4"/>
      <c r="D2" s="4"/>
      <c r="E2" s="4"/>
      <c r="F2" s="4"/>
      <c r="G2" s="4"/>
      <c r="H2" s="4"/>
      <c r="I2" s="4"/>
      <c r="J2" s="4"/>
    </row>
    <row r="3" spans="2:10" ht="7.5" customHeight="1" x14ac:dyDescent="0.2"/>
    <row r="4" spans="2:10" ht="19.5" customHeight="1" x14ac:dyDescent="0.2">
      <c r="C4" s="3" t="s">
        <v>89</v>
      </c>
      <c r="D4" s="3"/>
      <c r="E4" s="3"/>
      <c r="F4" s="2"/>
      <c r="G4" s="1" t="s">
        <v>90</v>
      </c>
      <c r="H4" s="1"/>
      <c r="I4" s="1"/>
      <c r="J4" s="46" t="s">
        <v>91</v>
      </c>
    </row>
    <row r="5" spans="2:10" ht="19.5" customHeight="1" x14ac:dyDescent="0.2">
      <c r="B5" s="29" t="s">
        <v>4</v>
      </c>
      <c r="C5" s="30" t="s">
        <v>92</v>
      </c>
      <c r="D5" s="30" t="s">
        <v>93</v>
      </c>
      <c r="E5" s="30" t="s">
        <v>94</v>
      </c>
      <c r="F5" s="2"/>
      <c r="G5" s="30" t="s">
        <v>92</v>
      </c>
      <c r="H5" s="30" t="s">
        <v>93</v>
      </c>
      <c r="I5" s="30" t="s">
        <v>94</v>
      </c>
      <c r="J5" s="30" t="s">
        <v>95</v>
      </c>
    </row>
    <row r="6" spans="2:10" ht="18" customHeight="1" x14ac:dyDescent="0.2">
      <c r="B6" s="13" t="s">
        <v>96</v>
      </c>
      <c r="C6" s="14">
        <v>0.65</v>
      </c>
      <c r="D6" s="14">
        <v>0.63</v>
      </c>
      <c r="E6" s="14">
        <v>0.61</v>
      </c>
      <c r="F6" s="2"/>
      <c r="G6" s="14">
        <v>0.7</v>
      </c>
      <c r="H6" s="14">
        <v>0.74</v>
      </c>
      <c r="I6" s="14">
        <v>0.78</v>
      </c>
      <c r="J6" s="47">
        <f t="shared" ref="J6:J11" si="0">I6-E6</f>
        <v>0.17000000000000004</v>
      </c>
    </row>
    <row r="7" spans="2:10" ht="18" customHeight="1" x14ac:dyDescent="0.2">
      <c r="B7" s="13" t="s">
        <v>97</v>
      </c>
      <c r="C7" s="18">
        <v>2800</v>
      </c>
      <c r="D7" s="18">
        <v>2740</v>
      </c>
      <c r="E7" s="18">
        <v>2680</v>
      </c>
      <c r="F7" s="2"/>
      <c r="G7" s="18">
        <v>2860</v>
      </c>
      <c r="H7" s="18">
        <v>2920</v>
      </c>
      <c r="I7" s="18">
        <v>3200</v>
      </c>
      <c r="J7" s="48">
        <f t="shared" si="0"/>
        <v>520</v>
      </c>
    </row>
    <row r="8" spans="2:10" ht="18" customHeight="1" x14ac:dyDescent="0.2">
      <c r="B8" s="13" t="s">
        <v>98</v>
      </c>
      <c r="C8" s="18">
        <v>650</v>
      </c>
      <c r="D8" s="18">
        <v>630</v>
      </c>
      <c r="E8" s="18">
        <v>610</v>
      </c>
      <c r="F8" s="2"/>
      <c r="G8" s="18">
        <v>680</v>
      </c>
      <c r="H8" s="18">
        <v>740</v>
      </c>
      <c r="I8" s="18">
        <v>820</v>
      </c>
      <c r="J8" s="48">
        <f t="shared" si="0"/>
        <v>210</v>
      </c>
    </row>
    <row r="9" spans="2:10" ht="18" customHeight="1" x14ac:dyDescent="0.2">
      <c r="B9" s="13" t="s">
        <v>99</v>
      </c>
      <c r="C9" s="23">
        <f>ROUND(C7*(1-C6),0)</f>
        <v>980</v>
      </c>
      <c r="D9" s="23">
        <f>ROUND(D7*(1-D6),0)</f>
        <v>1014</v>
      </c>
      <c r="E9" s="23">
        <f>ROUND(E7*(1-E6),0)</f>
        <v>1045</v>
      </c>
      <c r="F9" s="2"/>
      <c r="G9" s="23">
        <f>ROUND(G7*(1-G6),0)</f>
        <v>858</v>
      </c>
      <c r="H9" s="23">
        <f>ROUND(H7*(1-H6),0)</f>
        <v>759</v>
      </c>
      <c r="I9" s="23">
        <f>ROUND(I7*(1-I6),0)</f>
        <v>704</v>
      </c>
      <c r="J9" s="48">
        <f t="shared" si="0"/>
        <v>-341</v>
      </c>
    </row>
    <row r="10" spans="2:10" ht="18" customHeight="1" x14ac:dyDescent="0.2">
      <c r="B10" s="13" t="s">
        <v>100</v>
      </c>
      <c r="C10" s="23">
        <f>ROUND(C7*8,1)</f>
        <v>22400</v>
      </c>
      <c r="D10" s="23">
        <f>ROUND(D7*8,1)</f>
        <v>21920</v>
      </c>
      <c r="E10" s="23">
        <f>ROUND(E7*8,1)</f>
        <v>21440</v>
      </c>
      <c r="F10" s="2"/>
      <c r="G10" s="23">
        <f>ROUND(G7*8,1)</f>
        <v>22880</v>
      </c>
      <c r="H10" s="23">
        <f>ROUND(H7*8,1)</f>
        <v>23360</v>
      </c>
      <c r="I10" s="23">
        <f>ROUND(I7*8,1)</f>
        <v>25600</v>
      </c>
      <c r="J10" s="48">
        <f t="shared" si="0"/>
        <v>4160</v>
      </c>
    </row>
    <row r="11" spans="2:10" ht="18" customHeight="1" x14ac:dyDescent="0.2">
      <c r="B11" s="13" t="s">
        <v>101</v>
      </c>
      <c r="C11" s="23">
        <f>ROUND(C10*8,1)</f>
        <v>179200</v>
      </c>
      <c r="D11" s="23">
        <f>ROUND(D10*8,1)</f>
        <v>175360</v>
      </c>
      <c r="E11" s="23">
        <f>ROUND(E10*8,1)</f>
        <v>171520</v>
      </c>
      <c r="F11" s="2"/>
      <c r="G11" s="23">
        <f>ROUND(G10*8,1)</f>
        <v>183040</v>
      </c>
      <c r="H11" s="23">
        <f>ROUND(H10*8,1)</f>
        <v>186880</v>
      </c>
      <c r="I11" s="23">
        <f>ROUND(I10*8,1)</f>
        <v>204800</v>
      </c>
      <c r="J11" s="48">
        <f t="shared" si="0"/>
        <v>33280</v>
      </c>
    </row>
    <row r="12" spans="2:10" ht="9.75" customHeight="1" x14ac:dyDescent="0.2">
      <c r="F12" s="2"/>
    </row>
    <row r="13" spans="2:10" ht="18" customHeight="1" x14ac:dyDescent="0.2">
      <c r="B13" s="11" t="s">
        <v>102</v>
      </c>
      <c r="C13" s="11"/>
      <c r="D13" s="11"/>
      <c r="E13" s="11"/>
      <c r="F13" s="2"/>
      <c r="G13" s="11"/>
      <c r="H13" s="11"/>
      <c r="I13" s="11"/>
      <c r="J13" s="11"/>
    </row>
    <row r="14" spans="2:10" ht="18" customHeight="1" x14ac:dyDescent="0.2">
      <c r="B14" s="26" t="s">
        <v>103</v>
      </c>
      <c r="C14" s="27">
        <v>450</v>
      </c>
      <c r="F14" s="2"/>
    </row>
    <row r="15" spans="2:10" ht="18" customHeight="1" x14ac:dyDescent="0.2">
      <c r="B15" s="26" t="s">
        <v>104</v>
      </c>
      <c r="C15" s="23">
        <f>I7-E7</f>
        <v>520</v>
      </c>
      <c r="F15" s="2"/>
    </row>
    <row r="16" spans="2:10" ht="18" customHeight="1" x14ac:dyDescent="0.2">
      <c r="B16" s="26" t="s">
        <v>105</v>
      </c>
      <c r="C16" s="45">
        <f>ROUND(C15*8*4,1)</f>
        <v>16640</v>
      </c>
      <c r="F16" s="2"/>
    </row>
    <row r="17" spans="2:6" ht="18" customHeight="1" x14ac:dyDescent="0.2">
      <c r="B17" s="49" t="s">
        <v>106</v>
      </c>
      <c r="C17" s="50">
        <f>C16/C14</f>
        <v>36.977777777777774</v>
      </c>
      <c r="F17" s="2"/>
    </row>
    <row r="18" spans="2:6" x14ac:dyDescent="0.2">
      <c r="F18" s="2"/>
    </row>
    <row r="19" spans="2:6" x14ac:dyDescent="0.2">
      <c r="F19" s="2"/>
    </row>
    <row r="20" spans="2:6" x14ac:dyDescent="0.2">
      <c r="F20" s="2"/>
    </row>
    <row r="21" spans="2:6" x14ac:dyDescent="0.2">
      <c r="F21" s="2"/>
    </row>
    <row r="22" spans="2:6" x14ac:dyDescent="0.2">
      <c r="F22" s="2"/>
    </row>
    <row r="23" spans="2:6" x14ac:dyDescent="0.2">
      <c r="F23" s="2"/>
    </row>
    <row r="24" spans="2:6" x14ac:dyDescent="0.2">
      <c r="F24" s="2"/>
    </row>
    <row r="25" spans="2:6" x14ac:dyDescent="0.2">
      <c r="F25" s="2"/>
    </row>
    <row r="26" spans="2:6" x14ac:dyDescent="0.2">
      <c r="F26" s="2"/>
    </row>
    <row r="27" spans="2:6" x14ac:dyDescent="0.2">
      <c r="F27" s="2"/>
    </row>
    <row r="28" spans="2:6" x14ac:dyDescent="0.2">
      <c r="F28" s="2"/>
    </row>
    <row r="29" spans="2:6" x14ac:dyDescent="0.2">
      <c r="F29" s="2"/>
    </row>
    <row r="30" spans="2:6" x14ac:dyDescent="0.2">
      <c r="F30" s="2"/>
    </row>
    <row r="31" spans="2:6" x14ac:dyDescent="0.2">
      <c r="F31" s="2"/>
    </row>
    <row r="32" spans="2:6" x14ac:dyDescent="0.2">
      <c r="F32" s="2"/>
    </row>
    <row r="33" spans="6:6" x14ac:dyDescent="0.2">
      <c r="F33" s="2"/>
    </row>
    <row r="34" spans="6:6" x14ac:dyDescent="0.2">
      <c r="F34" s="2"/>
    </row>
    <row r="35" spans="6:6" x14ac:dyDescent="0.2">
      <c r="F35" s="2"/>
    </row>
  </sheetData>
  <mergeCells count="5">
    <mergeCell ref="B1:J1"/>
    <mergeCell ref="B2:J2"/>
    <mergeCell ref="C4:E4"/>
    <mergeCell ref="F4:F35"/>
    <mergeCell ref="G4:I4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21"/>
  <sheetViews>
    <sheetView showGridLines="0" zoomScaleNormal="100" workbookViewId="0"/>
  </sheetViews>
  <sheetFormatPr baseColWidth="10" defaultColWidth="8.6640625" defaultRowHeight="15" x14ac:dyDescent="0.2"/>
  <cols>
    <col min="1" max="1" width="3" customWidth="1"/>
    <col min="2" max="2" width="30" customWidth="1"/>
    <col min="3" max="6" width="18" customWidth="1"/>
    <col min="7" max="7" width="22" customWidth="1"/>
  </cols>
  <sheetData>
    <row r="1" spans="2:8" ht="27.75" customHeight="1" x14ac:dyDescent="0.2">
      <c r="B1" s="5" t="s">
        <v>107</v>
      </c>
      <c r="C1" s="5"/>
      <c r="D1" s="5"/>
      <c r="E1" s="5"/>
      <c r="F1" s="5"/>
      <c r="G1" s="5"/>
    </row>
    <row r="2" spans="2:8" ht="18" customHeight="1" x14ac:dyDescent="0.2">
      <c r="B2" s="4" t="s">
        <v>108</v>
      </c>
      <c r="C2" s="4"/>
      <c r="D2" s="4"/>
      <c r="E2" s="4"/>
      <c r="F2" s="4"/>
      <c r="G2" s="4"/>
    </row>
    <row r="3" spans="2:8" ht="7.5" customHeight="1" x14ac:dyDescent="0.2"/>
    <row r="4" spans="2:8" ht="18" customHeight="1" x14ac:dyDescent="0.2">
      <c r="B4" s="7" t="s">
        <v>109</v>
      </c>
      <c r="C4" s="7"/>
      <c r="D4" s="7"/>
      <c r="E4" s="7"/>
      <c r="F4" s="7"/>
      <c r="G4" s="7"/>
    </row>
    <row r="5" spans="2:8" ht="21.75" customHeight="1" x14ac:dyDescent="0.2">
      <c r="B5" s="12" t="s">
        <v>110</v>
      </c>
      <c r="C5" s="12" t="s">
        <v>111</v>
      </c>
      <c r="D5" s="12" t="s">
        <v>112</v>
      </c>
      <c r="E5" s="12" t="s">
        <v>76</v>
      </c>
      <c r="F5" s="12" t="s">
        <v>113</v>
      </c>
      <c r="G5" s="12" t="s">
        <v>114</v>
      </c>
      <c r="H5" s="12" t="s">
        <v>115</v>
      </c>
    </row>
    <row r="6" spans="2:8" ht="18" customHeight="1" x14ac:dyDescent="0.2">
      <c r="B6" s="26" t="s">
        <v>116</v>
      </c>
      <c r="C6" s="44" t="s">
        <v>117</v>
      </c>
      <c r="D6" s="27">
        <v>180</v>
      </c>
      <c r="E6" s="16">
        <f>D6/SUM($D$6:$D$10)</f>
        <v>0.4</v>
      </c>
      <c r="F6" s="23">
        <f>ROUND(D6/1.8,0)</f>
        <v>100</v>
      </c>
      <c r="G6" s="51">
        <v>0.08</v>
      </c>
      <c r="H6" s="52" t="s">
        <v>118</v>
      </c>
    </row>
    <row r="7" spans="2:8" ht="18" customHeight="1" x14ac:dyDescent="0.2">
      <c r="B7" s="26" t="s">
        <v>119</v>
      </c>
      <c r="C7" s="44" t="s">
        <v>120</v>
      </c>
      <c r="D7" s="27">
        <v>140</v>
      </c>
      <c r="E7" s="16">
        <f>D7/SUM($D$6:$D$10)</f>
        <v>0.31111111111111112</v>
      </c>
      <c r="F7" s="23">
        <f>ROUND(D7/1.8,0)</f>
        <v>78</v>
      </c>
      <c r="G7" s="51">
        <v>0.06</v>
      </c>
      <c r="H7" s="52" t="s">
        <v>121</v>
      </c>
    </row>
    <row r="8" spans="2:8" ht="18" customHeight="1" x14ac:dyDescent="0.2">
      <c r="B8" s="26" t="s">
        <v>122</v>
      </c>
      <c r="C8" s="44" t="s">
        <v>123</v>
      </c>
      <c r="D8" s="27">
        <v>70</v>
      </c>
      <c r="E8" s="16">
        <f>D8/SUM($D$6:$D$10)</f>
        <v>0.15555555555555556</v>
      </c>
      <c r="F8" s="23">
        <f>ROUND(D8/1.8,0)</f>
        <v>39</v>
      </c>
      <c r="G8" s="51">
        <v>0.04</v>
      </c>
      <c r="H8" s="52" t="s">
        <v>124</v>
      </c>
    </row>
    <row r="9" spans="2:8" ht="18" customHeight="1" x14ac:dyDescent="0.2">
      <c r="B9" s="26" t="s">
        <v>125</v>
      </c>
      <c r="C9" s="44" t="s">
        <v>126</v>
      </c>
      <c r="D9" s="27">
        <v>35</v>
      </c>
      <c r="E9" s="16">
        <f>D9/SUM($D$6:$D$10)</f>
        <v>7.7777777777777779E-2</v>
      </c>
      <c r="F9" s="23">
        <f>ROUND(D9/1.8,0)</f>
        <v>19</v>
      </c>
      <c r="G9" s="51">
        <v>0.03</v>
      </c>
      <c r="H9" s="52" t="s">
        <v>127</v>
      </c>
    </row>
    <row r="10" spans="2:8" ht="18" customHeight="1" x14ac:dyDescent="0.2">
      <c r="B10" s="26" t="s">
        <v>128</v>
      </c>
      <c r="C10" s="44" t="s">
        <v>129</v>
      </c>
      <c r="D10" s="27">
        <v>25</v>
      </c>
      <c r="E10" s="16">
        <f>D10/SUM($D$6:$D$10)</f>
        <v>5.5555555555555552E-2</v>
      </c>
      <c r="F10" s="23">
        <f>ROUND(D10/1.8,0)</f>
        <v>14</v>
      </c>
      <c r="G10" s="51">
        <v>0.02</v>
      </c>
      <c r="H10" s="52" t="s">
        <v>130</v>
      </c>
    </row>
    <row r="11" spans="2:8" ht="19.5" customHeight="1" x14ac:dyDescent="0.2">
      <c r="B11" s="33" t="s">
        <v>131</v>
      </c>
      <c r="C11" s="53"/>
      <c r="D11" s="54">
        <f>SUM(D6:D10)</f>
        <v>450</v>
      </c>
      <c r="E11" s="55">
        <f>SUM(E6:E10)</f>
        <v>1</v>
      </c>
      <c r="F11" s="34">
        <f>SUM(F6:F10)</f>
        <v>250</v>
      </c>
      <c r="G11" s="40">
        <f>SUM(G6:G10)</f>
        <v>0.23</v>
      </c>
      <c r="H11" s="53"/>
    </row>
    <row r="12" spans="2:8" ht="9.75" customHeight="1" x14ac:dyDescent="0.2"/>
    <row r="13" spans="2:8" ht="18" customHeight="1" x14ac:dyDescent="0.2">
      <c r="B13" s="7" t="s">
        <v>132</v>
      </c>
      <c r="C13" s="7"/>
      <c r="D13" s="7"/>
      <c r="E13" s="7"/>
      <c r="F13" s="7"/>
      <c r="G13" s="7"/>
    </row>
    <row r="14" spans="2:8" ht="19.5" customHeight="1" x14ac:dyDescent="0.2">
      <c r="B14" s="12" t="s">
        <v>110</v>
      </c>
      <c r="C14" s="12" t="s">
        <v>133</v>
      </c>
      <c r="D14" s="12" t="s">
        <v>134</v>
      </c>
      <c r="E14" s="12" t="s">
        <v>135</v>
      </c>
      <c r="F14" s="12" t="s">
        <v>136</v>
      </c>
      <c r="G14" s="12" t="s">
        <v>137</v>
      </c>
    </row>
    <row r="15" spans="2:8" ht="16.5" customHeight="1" x14ac:dyDescent="0.2">
      <c r="B15" s="52" t="s">
        <v>116</v>
      </c>
      <c r="C15" s="56" t="s">
        <v>138</v>
      </c>
      <c r="D15" s="57" t="s">
        <v>139</v>
      </c>
      <c r="E15" s="56" t="s">
        <v>140</v>
      </c>
      <c r="F15" s="58" t="s">
        <v>141</v>
      </c>
      <c r="G15" s="56" t="s">
        <v>142</v>
      </c>
    </row>
    <row r="16" spans="2:8" ht="16.5" customHeight="1" x14ac:dyDescent="0.2">
      <c r="B16" s="52" t="s">
        <v>119</v>
      </c>
      <c r="C16" s="56" t="s">
        <v>143</v>
      </c>
      <c r="D16" s="56" t="s">
        <v>144</v>
      </c>
      <c r="E16" s="56" t="s">
        <v>145</v>
      </c>
      <c r="F16" s="58" t="s">
        <v>146</v>
      </c>
      <c r="G16" s="56" t="s">
        <v>147</v>
      </c>
    </row>
    <row r="17" spans="2:7" ht="16.5" customHeight="1" x14ac:dyDescent="0.2">
      <c r="B17" s="52" t="s">
        <v>122</v>
      </c>
      <c r="C17" s="56" t="s">
        <v>148</v>
      </c>
      <c r="D17" s="56" t="s">
        <v>149</v>
      </c>
      <c r="E17" s="57" t="s">
        <v>139</v>
      </c>
      <c r="F17" s="56" t="s">
        <v>140</v>
      </c>
      <c r="G17" s="58" t="s">
        <v>150</v>
      </c>
    </row>
    <row r="18" spans="2:7" ht="16.5" customHeight="1" x14ac:dyDescent="0.2">
      <c r="B18" s="52" t="s">
        <v>125</v>
      </c>
      <c r="C18" s="56" t="s">
        <v>151</v>
      </c>
      <c r="D18" s="57" t="s">
        <v>152</v>
      </c>
      <c r="E18" s="57" t="s">
        <v>153</v>
      </c>
      <c r="F18" s="58" t="s">
        <v>141</v>
      </c>
      <c r="G18" s="56" t="s">
        <v>154</v>
      </c>
    </row>
    <row r="19" spans="2:7" ht="16.5" customHeight="1" x14ac:dyDescent="0.2">
      <c r="B19" s="52" t="s">
        <v>128</v>
      </c>
      <c r="C19" s="56" t="s">
        <v>145</v>
      </c>
      <c r="D19" s="56" t="s">
        <v>155</v>
      </c>
      <c r="E19" s="58" t="s">
        <v>156</v>
      </c>
      <c r="F19" s="56" t="s">
        <v>142</v>
      </c>
      <c r="G19" s="56" t="s">
        <v>147</v>
      </c>
    </row>
    <row r="21" spans="2:7" ht="13.5" customHeight="1" x14ac:dyDescent="0.2">
      <c r="B21" s="6" t="s">
        <v>157</v>
      </c>
      <c r="C21" s="6"/>
      <c r="D21" s="6"/>
      <c r="E21" s="6"/>
      <c r="F21" s="6"/>
      <c r="G21" s="6"/>
    </row>
  </sheetData>
  <mergeCells count="5">
    <mergeCell ref="B1:G1"/>
    <mergeCell ref="B2:G2"/>
    <mergeCell ref="B4:G4"/>
    <mergeCell ref="B13:G13"/>
    <mergeCell ref="B21:G21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RESUMEN_EJECUTIVO</vt:lpstr>
      <vt:lpstr>MATRICULA_HISTORICA</vt:lpstr>
      <vt:lpstr>ANALISIS_DESERCION</vt:lpstr>
      <vt:lpstr>PROYECCION_2025_2027</vt:lpstr>
      <vt:lpstr>PRESUPUESTO_RETENCION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da hernanadez</cp:lastModifiedBy>
  <cp:revision>0</cp:revision>
  <dcterms:created xsi:type="dcterms:W3CDTF">2026-04-12T20:30:39Z</dcterms:created>
  <dcterms:modified xsi:type="dcterms:W3CDTF">2026-04-12T20:57:11Z</dcterms:modified>
  <dc:language>en-US</dc:language>
</cp:coreProperties>
</file>